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730" windowHeight="11760" activeTab="2"/>
  </bookViews>
  <sheets>
    <sheet name="CONDUCTOR" sheetId="1" r:id="rId1"/>
    <sheet name="ESTRUCTURAS" sheetId="2" r:id="rId2"/>
    <sheet name="MATERIALES" sheetId="3" r:id="rId3"/>
  </sheets>
  <definedNames>
    <definedName name="_xlnm.Print_Area" localSheetId="2">'MATERIALES'!$B$3:$I$21</definedName>
  </definedNames>
  <calcPr calcId="152511"/>
</workbook>
</file>

<file path=xl/sharedStrings.xml><?xml version="1.0" encoding="utf-8"?>
<sst xmlns="http://schemas.openxmlformats.org/spreadsheetml/2006/main" count="120" uniqueCount="94">
  <si>
    <t>De</t>
  </si>
  <si>
    <t>Hasta</t>
  </si>
  <si>
    <t>Distancia (mts)</t>
  </si>
  <si>
    <t>POSTE</t>
  </si>
  <si>
    <t>Estructura MT</t>
  </si>
  <si>
    <t>Estructura BT</t>
  </si>
  <si>
    <t>TENSOR</t>
  </si>
  <si>
    <t>Seccionador</t>
  </si>
  <si>
    <t>Trafo</t>
  </si>
  <si>
    <t>Luminaria</t>
  </si>
  <si>
    <t>Acometida</t>
  </si>
  <si>
    <t>P1</t>
  </si>
  <si>
    <t>P2</t>
  </si>
  <si>
    <t>Conductor ACSR 2</t>
  </si>
  <si>
    <t>Subtotal</t>
  </si>
  <si>
    <t>Multiplex 3x6</t>
  </si>
  <si>
    <t># Acometidas</t>
  </si>
  <si>
    <t>Distancia promedio de acometida</t>
  </si>
  <si>
    <t>TIPO</t>
  </si>
  <si>
    <t>FV</t>
  </si>
  <si>
    <t>ALTURA</t>
  </si>
  <si>
    <t>ITEM</t>
  </si>
  <si>
    <t>KGF</t>
  </si>
  <si>
    <t>1EP+1ER</t>
  </si>
  <si>
    <t>1EP</t>
  </si>
  <si>
    <t>2(110W)</t>
  </si>
  <si>
    <t>1ER</t>
  </si>
  <si>
    <t>Desperdicio 1,5%</t>
  </si>
  <si>
    <t>TOTAL</t>
  </si>
  <si>
    <t>10m</t>
  </si>
  <si>
    <t>Conteo de estructuras</t>
  </si>
  <si>
    <t>Descripción</t>
  </si>
  <si>
    <t>Postes 12m FV 500 kgf</t>
  </si>
  <si>
    <t>Postes 10m FV 400 kgf</t>
  </si>
  <si>
    <t>Suma 1</t>
  </si>
  <si>
    <t>Suma 2</t>
  </si>
  <si>
    <t>Conductor TTU # 1/0</t>
  </si>
  <si>
    <t>Conductor TTU # 3/0</t>
  </si>
  <si>
    <t>Item</t>
  </si>
  <si>
    <t>Mano de Obra</t>
  </si>
  <si>
    <t>Cantidad</t>
  </si>
  <si>
    <t>mts</t>
  </si>
  <si>
    <t>Unidad</t>
  </si>
  <si>
    <t>P. U Materiales</t>
  </si>
  <si>
    <t>Subtotal Mat</t>
  </si>
  <si>
    <t xml:space="preserve">Sub M.O </t>
  </si>
  <si>
    <t>Suministro y montaje de poste de fibra de vidrio de 10 metros, 400 kgf</t>
  </si>
  <si>
    <t>U</t>
  </si>
  <si>
    <t>Suministro y montaje de Estructura ESE-1EP 240V</t>
  </si>
  <si>
    <t>Suministro y montaje de Estructura ESE-1ER 240V</t>
  </si>
  <si>
    <t>Seccionadores</t>
  </si>
  <si>
    <t>Excavación de suelo para montaje de poste o tensor - terreno rocoso</t>
  </si>
  <si>
    <t>Subtotal M.O</t>
  </si>
  <si>
    <t>Sub 1+2</t>
  </si>
  <si>
    <t>IVA 12%</t>
  </si>
  <si>
    <t>1CRT</t>
  </si>
  <si>
    <t>TAT-0TS</t>
  </si>
  <si>
    <t>TAD-0TS</t>
  </si>
  <si>
    <t>1PR3e+1ER</t>
  </si>
  <si>
    <t>P3</t>
  </si>
  <si>
    <t>Trafo monofásico 25 kVA</t>
  </si>
  <si>
    <t>Suministro, montaje e instalacion de acometida bifásica en bajo voltaje 240-120V directa</t>
  </si>
  <si>
    <t>1CPT</t>
  </si>
  <si>
    <t>1ED</t>
  </si>
  <si>
    <t>TAT-0PD</t>
  </si>
  <si>
    <t>TAD-0FS</t>
  </si>
  <si>
    <t>TAT-0TD</t>
  </si>
  <si>
    <t>Medidor</t>
  </si>
  <si>
    <t>medidor</t>
  </si>
  <si>
    <t>Acometidas</t>
  </si>
  <si>
    <t>Abrazadera para acometida</t>
  </si>
  <si>
    <t>Abrazadera</t>
  </si>
  <si>
    <t>Suministro y montaje  de abrazadera para acometida en bajo voltaje 240-120V(Maximo 6 Acometidas)</t>
  </si>
  <si>
    <t>-</t>
  </si>
  <si>
    <t>Conductor Concentrico de aluminio 2x4(4)</t>
  </si>
  <si>
    <t>1CAT</t>
  </si>
  <si>
    <t>TAT-0PS</t>
  </si>
  <si>
    <t>10 KVA</t>
  </si>
  <si>
    <t>110W</t>
  </si>
  <si>
    <t>Excavaciones</t>
  </si>
  <si>
    <t>Trafo monofásico 10 kVA</t>
  </si>
  <si>
    <t>Desbroce de vegetacion</t>
  </si>
  <si>
    <t>km</t>
  </si>
  <si>
    <t>P1e</t>
  </si>
  <si>
    <t>11m</t>
  </si>
  <si>
    <t>H.A</t>
  </si>
  <si>
    <t>Conductor Preensamblado 2x35(35)</t>
  </si>
  <si>
    <t>Suministro y tendido de cable preensamblado 2x35+1x35 mm2</t>
  </si>
  <si>
    <t>Suministro, montaje e instalación de luminaria autocontrolada tipo LED de 110W</t>
  </si>
  <si>
    <t>PROYECTO ALFAJIA</t>
  </si>
  <si>
    <t>Sector Alfajia</t>
  </si>
  <si>
    <t>Suministro, montaje e instalacion de medidor bifasico Radio Frecuencia bajo voltaje 220-127V // 240-120V</t>
  </si>
  <si>
    <t>Anexo #2</t>
  </si>
  <si>
    <t>Suministro y montaje  tensor a tierra simple 240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</si>
</sst>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0.0"/>
    <numFmt numFmtId="168" formatCode="_(* #,##0.00_);_(* \(#,##0.0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 wrapText="1"/>
      <protection/>
    </xf>
    <xf numFmtId="165" fontId="0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/>
    </xf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166" fontId="2" fillId="0" borderId="1" xfId="20" applyFont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2" fillId="0" borderId="0" xfId="0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2" fontId="4" fillId="0" borderId="0" xfId="0" applyNumberFormat="1" applyFont="1"/>
    <xf numFmtId="165" fontId="4" fillId="0" borderId="0" xfId="0" applyNumberFormat="1" applyFont="1"/>
    <xf numFmtId="0" fontId="0" fillId="0" borderId="0" xfId="0" applyBorder="1"/>
    <xf numFmtId="168" fontId="0" fillId="0" borderId="0" xfId="21" applyNumberFormat="1" applyFont="1" applyFill="1" applyBorder="1"/>
    <xf numFmtId="164" fontId="0" fillId="0" borderId="0" xfId="21" applyFont="1" applyFill="1" applyBorder="1"/>
    <xf numFmtId="0" fontId="0" fillId="0" borderId="1" xfId="0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  <cellStyle name="Normal 2" xfId="22"/>
    <cellStyle name="Millares 2" xfId="23"/>
    <cellStyle name="Normal 7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 topLeftCell="A1">
      <selection activeCell="D12" sqref="D12"/>
    </sheetView>
  </sheetViews>
  <sheetFormatPr defaultColWidth="11.421875" defaultRowHeight="15"/>
  <cols>
    <col min="4" max="4" width="15.28125" style="0" customWidth="1"/>
    <col min="5" max="5" width="19.140625" style="0" customWidth="1"/>
    <col min="6" max="6" width="32.8515625" style="0" bestFit="1" customWidth="1"/>
    <col min="7" max="7" width="32.7109375" style="0" customWidth="1"/>
    <col min="8" max="8" width="13.140625" style="0" hidden="1" customWidth="1"/>
    <col min="9" max="9" width="18.421875" style="0" hidden="1" customWidth="1"/>
    <col min="10" max="10" width="18.8515625" style="0" hidden="1" customWidth="1"/>
    <col min="11" max="11" width="11.421875" style="0" hidden="1" customWidth="1"/>
  </cols>
  <sheetData>
    <row r="1" spans="2:5" ht="15">
      <c r="B1" s="31" t="s">
        <v>89</v>
      </c>
      <c r="C1" s="31"/>
      <c r="D1" s="31"/>
      <c r="E1" s="31"/>
    </row>
    <row r="2" spans="2:10" ht="15">
      <c r="B2" s="1" t="s">
        <v>0</v>
      </c>
      <c r="C2" s="1" t="s">
        <v>1</v>
      </c>
      <c r="D2" s="1" t="s">
        <v>2</v>
      </c>
      <c r="E2" s="1" t="s">
        <v>13</v>
      </c>
      <c r="F2" s="1" t="s">
        <v>86</v>
      </c>
      <c r="H2" s="1" t="s">
        <v>15</v>
      </c>
      <c r="I2" s="1" t="s">
        <v>36</v>
      </c>
      <c r="J2" s="1" t="s">
        <v>37</v>
      </c>
    </row>
    <row r="3" spans="2:6" ht="15">
      <c r="B3" t="s">
        <v>11</v>
      </c>
      <c r="C3" t="s">
        <v>12</v>
      </c>
      <c r="D3">
        <v>66</v>
      </c>
      <c r="E3">
        <v>0</v>
      </c>
      <c r="F3">
        <v>66</v>
      </c>
    </row>
    <row r="4" spans="2:6" ht="15">
      <c r="B4" t="s">
        <v>12</v>
      </c>
      <c r="C4" t="s">
        <v>59</v>
      </c>
      <c r="D4">
        <v>66</v>
      </c>
      <c r="E4">
        <v>0</v>
      </c>
      <c r="F4">
        <v>66</v>
      </c>
    </row>
    <row r="5" spans="4:10" ht="15">
      <c r="D5" s="2" t="s">
        <v>14</v>
      </c>
      <c r="E5" s="3">
        <f>SUM(E3:E4)</f>
        <v>0</v>
      </c>
      <c r="F5" s="3">
        <f>SUM(F3:F4)</f>
        <v>132</v>
      </c>
      <c r="G5" s="3"/>
      <c r="H5" s="3">
        <f>SUM(H3:H4)</f>
        <v>0</v>
      </c>
      <c r="I5" s="3">
        <f>SUM(I3:I4)</f>
        <v>0</v>
      </c>
      <c r="J5" s="3">
        <f>SUM(J3:J4)</f>
        <v>0</v>
      </c>
    </row>
    <row r="6" spans="4:10" ht="15">
      <c r="D6" t="s">
        <v>27</v>
      </c>
      <c r="E6" s="3">
        <f>+E5*0.015</f>
        <v>0</v>
      </c>
      <c r="F6" s="3">
        <f>+F5*0.015</f>
        <v>1.98</v>
      </c>
      <c r="G6" s="3"/>
      <c r="H6" s="3">
        <f aca="true" t="shared" si="0" ref="H6">+H5*0.015</f>
        <v>0</v>
      </c>
      <c r="I6" s="3"/>
      <c r="J6" s="3"/>
    </row>
    <row r="7" spans="4:10" ht="15">
      <c r="D7" t="s">
        <v>28</v>
      </c>
      <c r="E7" s="3">
        <f>+ROUNDUP(+E5+E6,2)</f>
        <v>0</v>
      </c>
      <c r="F7" s="3">
        <f>+F5+F6</f>
        <v>133.98</v>
      </c>
      <c r="G7" s="3"/>
      <c r="H7" s="3">
        <f aca="true" t="shared" si="1" ref="H7">+H5+H6</f>
        <v>0</v>
      </c>
      <c r="I7" s="3">
        <f aca="true" t="shared" si="2" ref="I7:J7">+I5+I6</f>
        <v>0</v>
      </c>
      <c r="J7" s="3">
        <f t="shared" si="2"/>
        <v>0</v>
      </c>
    </row>
    <row r="9" ht="15">
      <c r="G9" s="1" t="s">
        <v>74</v>
      </c>
    </row>
    <row r="10" spans="6:7" ht="15">
      <c r="F10" t="s">
        <v>16</v>
      </c>
      <c r="G10">
        <v>2</v>
      </c>
    </row>
    <row r="11" spans="6:7" ht="15">
      <c r="F11" t="s">
        <v>17</v>
      </c>
      <c r="G11">
        <v>30</v>
      </c>
    </row>
    <row r="12" ht="15">
      <c r="G12">
        <f>+G10*G11</f>
        <v>60</v>
      </c>
    </row>
    <row r="15" spans="6:7" ht="15">
      <c r="F15" s="3"/>
      <c r="G15" s="3"/>
    </row>
  </sheetData>
  <mergeCells count="1">
    <mergeCell ref="B1:E1"/>
  </mergeCells>
  <printOptions/>
  <pageMargins left="0.7" right="0.7" top="0.75" bottom="0.75" header="0.3" footer="0.3"/>
  <pageSetup horizontalDpi="300" verticalDpi="300" orientation="portrait" paperSize="20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workbookViewId="0" topLeftCell="D1">
      <selection activeCell="D5" sqref="D5"/>
    </sheetView>
  </sheetViews>
  <sheetFormatPr defaultColWidth="11.421875" defaultRowHeight="15"/>
  <cols>
    <col min="3" max="3" width="12.28125" style="0" bestFit="1" customWidth="1"/>
    <col min="4" max="4" width="13.7109375" style="0" customWidth="1"/>
    <col min="5" max="5" width="9.7109375" style="0" bestFit="1" customWidth="1"/>
    <col min="6" max="6" width="6.57421875" style="0" customWidth="1"/>
    <col min="7" max="7" width="13.00390625" style="0" bestFit="1" customWidth="1"/>
    <col min="8" max="8" width="12.421875" style="0" bestFit="1" customWidth="1"/>
    <col min="9" max="9" width="16.421875" style="0" customWidth="1"/>
    <col min="10" max="10" width="11.7109375" style="0" bestFit="1" customWidth="1"/>
    <col min="11" max="11" width="8.00390625" style="0" bestFit="1" customWidth="1"/>
    <col min="12" max="12" width="9.7109375" style="0" bestFit="1" customWidth="1"/>
    <col min="13" max="13" width="10.57421875" style="0" bestFit="1" customWidth="1"/>
  </cols>
  <sheetData>
    <row r="2" spans="2:15" s="1" customFormat="1" ht="15">
      <c r="B2" s="1" t="s">
        <v>21</v>
      </c>
      <c r="C2" s="1" t="s">
        <v>20</v>
      </c>
      <c r="D2" s="1" t="s">
        <v>22</v>
      </c>
      <c r="E2" s="1" t="s">
        <v>3</v>
      </c>
      <c r="F2" s="1" t="s">
        <v>18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67</v>
      </c>
      <c r="O2" s="1" t="s">
        <v>70</v>
      </c>
    </row>
    <row r="3" spans="2:8" ht="15">
      <c r="B3">
        <v>1</v>
      </c>
      <c r="C3" t="s">
        <v>84</v>
      </c>
      <c r="D3">
        <v>400</v>
      </c>
      <c r="E3" t="s">
        <v>83</v>
      </c>
      <c r="F3" t="s">
        <v>85</v>
      </c>
      <c r="H3" t="s">
        <v>26</v>
      </c>
    </row>
    <row r="4" spans="2:15" ht="15">
      <c r="B4">
        <v>2</v>
      </c>
      <c r="C4" t="s">
        <v>29</v>
      </c>
      <c r="D4">
        <v>400</v>
      </c>
      <c r="E4" t="s">
        <v>12</v>
      </c>
      <c r="F4" t="s">
        <v>19</v>
      </c>
      <c r="H4" t="s">
        <v>24</v>
      </c>
      <c r="I4" s="16"/>
      <c r="L4" s="16" t="s">
        <v>78</v>
      </c>
      <c r="M4">
        <v>1</v>
      </c>
      <c r="N4">
        <v>1</v>
      </c>
      <c r="O4">
        <v>1</v>
      </c>
    </row>
    <row r="5" spans="2:15" ht="15">
      <c r="B5">
        <v>3</v>
      </c>
      <c r="C5" t="s">
        <v>29</v>
      </c>
      <c r="D5">
        <v>400</v>
      </c>
      <c r="E5" t="s">
        <v>59</v>
      </c>
      <c r="F5" t="s">
        <v>19</v>
      </c>
      <c r="H5" t="s">
        <v>26</v>
      </c>
      <c r="I5" s="16" t="s">
        <v>57</v>
      </c>
      <c r="K5" t="s">
        <v>77</v>
      </c>
      <c r="L5" t="s">
        <v>78</v>
      </c>
      <c r="M5">
        <v>1</v>
      </c>
      <c r="N5">
        <v>1</v>
      </c>
      <c r="O5">
        <v>1</v>
      </c>
    </row>
    <row r="6" spans="4:13" ht="15">
      <c r="D6" s="32" t="s">
        <v>30</v>
      </c>
      <c r="E6" s="32"/>
      <c r="F6" s="32"/>
      <c r="G6" s="32"/>
      <c r="H6" s="32"/>
      <c r="I6" s="32"/>
      <c r="J6" s="32"/>
      <c r="K6" s="32"/>
      <c r="L6" s="32"/>
      <c r="M6" s="32"/>
    </row>
    <row r="7" spans="4:13" s="1" customFormat="1" ht="15">
      <c r="D7" s="31" t="s">
        <v>31</v>
      </c>
      <c r="E7" s="31"/>
      <c r="F7" s="31"/>
      <c r="G7" s="4" t="s">
        <v>34</v>
      </c>
      <c r="H7" s="4" t="s">
        <v>35</v>
      </c>
      <c r="I7" s="5" t="s">
        <v>14</v>
      </c>
      <c r="J7" s="4"/>
      <c r="K7" s="4" t="s">
        <v>79</v>
      </c>
      <c r="L7" s="4"/>
      <c r="M7" s="4"/>
    </row>
    <row r="8" spans="4:11" ht="15">
      <c r="D8" s="32" t="s">
        <v>32</v>
      </c>
      <c r="E8" s="32"/>
      <c r="F8" s="32"/>
      <c r="G8">
        <f>+COUNTIF(C3:C5,"12m")</f>
        <v>0</v>
      </c>
      <c r="I8" s="5">
        <f>SUM(G8:H8)</f>
        <v>0</v>
      </c>
      <c r="K8">
        <f>+I8+I9+I18+I19+I20+I21+I22+I23</f>
        <v>3</v>
      </c>
    </row>
    <row r="9" spans="4:9" ht="15">
      <c r="D9" s="32" t="s">
        <v>33</v>
      </c>
      <c r="E9" s="32"/>
      <c r="F9" s="32"/>
      <c r="G9">
        <f>+COUNTIF(C3:C5,"10m")</f>
        <v>2</v>
      </c>
      <c r="I9" s="5">
        <f aca="true" t="shared" si="0" ref="I9:I27">SUM(G9:H9)</f>
        <v>2</v>
      </c>
    </row>
    <row r="10" spans="4:9" ht="15">
      <c r="D10" s="32" t="s">
        <v>55</v>
      </c>
      <c r="E10" s="32"/>
      <c r="F10" s="32"/>
      <c r="G10">
        <f>+COUNTIF($G$3:$G$5,"1CRT")</f>
        <v>0</v>
      </c>
      <c r="I10" s="5">
        <f t="shared" si="0"/>
        <v>0</v>
      </c>
    </row>
    <row r="11" spans="4:9" ht="15">
      <c r="D11" s="32" t="s">
        <v>62</v>
      </c>
      <c r="E11" s="32"/>
      <c r="F11" s="32"/>
      <c r="G11">
        <f>+COUNTIF($G$3:$G$5,"1CPT")</f>
        <v>0</v>
      </c>
      <c r="I11" s="5">
        <f t="shared" si="0"/>
        <v>0</v>
      </c>
    </row>
    <row r="12" spans="4:9" s="16" customFormat="1" ht="15">
      <c r="D12" s="32" t="s">
        <v>75</v>
      </c>
      <c r="E12" s="32"/>
      <c r="F12" s="32"/>
      <c r="G12" s="16">
        <f>+COUNTIF($G$3:$G$5,"1CAT")</f>
        <v>0</v>
      </c>
      <c r="I12" s="5">
        <f t="shared" si="0"/>
        <v>0</v>
      </c>
    </row>
    <row r="13" spans="4:9" ht="15">
      <c r="D13" s="32" t="s">
        <v>24</v>
      </c>
      <c r="E13" s="32"/>
      <c r="F13" s="32"/>
      <c r="G13">
        <f>+COUNTIF($H$3:$H$5,"1EP")</f>
        <v>1</v>
      </c>
      <c r="I13" s="5">
        <f t="shared" si="0"/>
        <v>1</v>
      </c>
    </row>
    <row r="14" spans="4:9" ht="15">
      <c r="D14" s="32" t="s">
        <v>26</v>
      </c>
      <c r="E14" s="32"/>
      <c r="F14" s="32"/>
      <c r="G14">
        <f>+COUNTIF($H$3:$H$5,"1Er")</f>
        <v>2</v>
      </c>
      <c r="I14" s="5">
        <f t="shared" si="0"/>
        <v>2</v>
      </c>
    </row>
    <row r="15" spans="4:9" ht="15" hidden="1">
      <c r="D15" s="32" t="s">
        <v>23</v>
      </c>
      <c r="E15" s="32"/>
      <c r="F15" s="32"/>
      <c r="G15">
        <f>+COUNTIF($H$3:$H$5,"1EP+1er")</f>
        <v>0</v>
      </c>
      <c r="I15" s="5">
        <f t="shared" si="0"/>
        <v>0</v>
      </c>
    </row>
    <row r="16" spans="4:9" ht="15" hidden="1">
      <c r="D16" s="32" t="s">
        <v>58</v>
      </c>
      <c r="E16" s="32"/>
      <c r="F16" s="32"/>
      <c r="G16">
        <f>+COUNTIF($H$3:$H$5,"1PR3e+1ER")</f>
        <v>0</v>
      </c>
      <c r="I16" s="5">
        <f t="shared" si="0"/>
        <v>0</v>
      </c>
    </row>
    <row r="17" spans="4:9" ht="15">
      <c r="D17" s="32" t="s">
        <v>63</v>
      </c>
      <c r="E17" s="32"/>
      <c r="F17" s="32"/>
      <c r="G17">
        <f>+COUNTIF($H$3:$H$5,"1ED")</f>
        <v>0</v>
      </c>
      <c r="I17" s="5">
        <f t="shared" si="0"/>
        <v>0</v>
      </c>
    </row>
    <row r="18" spans="4:9" ht="15">
      <c r="D18" s="32" t="s">
        <v>56</v>
      </c>
      <c r="E18" s="32"/>
      <c r="F18" s="32"/>
      <c r="G18">
        <f>+COUNTIF($I$3:$I$5,"TAT-0TS")</f>
        <v>0</v>
      </c>
      <c r="I18" s="5">
        <f t="shared" si="0"/>
        <v>0</v>
      </c>
    </row>
    <row r="19" spans="4:9" ht="15">
      <c r="D19" s="32" t="s">
        <v>57</v>
      </c>
      <c r="E19" s="32"/>
      <c r="F19" s="32"/>
      <c r="G19">
        <f>+COUNTIF($I$3:$I$5,"TAD-0TS")</f>
        <v>1</v>
      </c>
      <c r="I19" s="5">
        <f t="shared" si="0"/>
        <v>1</v>
      </c>
    </row>
    <row r="20" spans="4:9" ht="15">
      <c r="D20" s="32" t="s">
        <v>64</v>
      </c>
      <c r="E20" s="32"/>
      <c r="F20" s="32"/>
      <c r="G20">
        <f>+COUNTIF($I$3:$I$5,"TAT-0PD")</f>
        <v>0</v>
      </c>
      <c r="I20" s="5">
        <f t="shared" si="0"/>
        <v>0</v>
      </c>
    </row>
    <row r="21" spans="4:9" s="16" customFormat="1" ht="15">
      <c r="D21" s="32" t="s">
        <v>76</v>
      </c>
      <c r="E21" s="32"/>
      <c r="F21" s="32"/>
      <c r="G21" s="16">
        <f>+COUNTIF($I$3:$I$5,"TAT-0PS")</f>
        <v>0</v>
      </c>
      <c r="I21" s="5">
        <f t="shared" si="0"/>
        <v>0</v>
      </c>
    </row>
    <row r="22" spans="4:9" ht="15">
      <c r="D22" s="32" t="s">
        <v>65</v>
      </c>
      <c r="E22" s="32"/>
      <c r="F22" s="32"/>
      <c r="G22">
        <f>+COUNTIF($I$3:$I$5,"TAD-0FS")</f>
        <v>0</v>
      </c>
      <c r="I22" s="5">
        <f t="shared" si="0"/>
        <v>0</v>
      </c>
    </row>
    <row r="23" spans="4:9" ht="15">
      <c r="D23" s="32" t="s">
        <v>66</v>
      </c>
      <c r="E23" s="32"/>
      <c r="F23" s="32"/>
      <c r="G23">
        <f>+COUNTIF($I$3:$I$5,"TAT-0TD")</f>
        <v>0</v>
      </c>
      <c r="I23" s="5">
        <f t="shared" si="0"/>
        <v>0</v>
      </c>
    </row>
    <row r="24" spans="4:9" ht="15">
      <c r="D24" s="32" t="s">
        <v>50</v>
      </c>
      <c r="E24" s="32"/>
      <c r="F24" s="32"/>
      <c r="G24">
        <f>+COUNTIF($J$3:$J$5,"1 secc")</f>
        <v>0</v>
      </c>
      <c r="I24" s="5">
        <f t="shared" si="0"/>
        <v>0</v>
      </c>
    </row>
    <row r="25" spans="4:9" ht="15">
      <c r="D25" s="32" t="s">
        <v>60</v>
      </c>
      <c r="E25" s="32"/>
      <c r="F25" s="32"/>
      <c r="G25">
        <f>+COUNTIF($K$3:$K$5,"25 kVA")</f>
        <v>0</v>
      </c>
      <c r="I25" s="5">
        <f t="shared" si="0"/>
        <v>0</v>
      </c>
    </row>
    <row r="26" spans="4:9" s="16" customFormat="1" ht="15">
      <c r="D26" s="32" t="s">
        <v>80</v>
      </c>
      <c r="E26" s="32"/>
      <c r="F26" s="32"/>
      <c r="G26" s="16">
        <f>+COUNTIF($K$3:$K$5,"10 kVA")</f>
        <v>1</v>
      </c>
      <c r="I26" s="5">
        <f aca="true" t="shared" si="1" ref="I26">SUM(G26:H26)</f>
        <v>1</v>
      </c>
    </row>
    <row r="27" spans="4:9" ht="15">
      <c r="D27" s="32" t="s">
        <v>78</v>
      </c>
      <c r="E27" s="32"/>
      <c r="F27" s="32"/>
      <c r="G27">
        <f>+COUNTIF($L$3:$L$5,"110W")</f>
        <v>2</v>
      </c>
      <c r="I27" s="5">
        <f t="shared" si="0"/>
        <v>2</v>
      </c>
    </row>
    <row r="28" spans="4:7" ht="15" hidden="1">
      <c r="D28" s="32" t="s">
        <v>25</v>
      </c>
      <c r="E28" s="32"/>
      <c r="F28" s="32"/>
      <c r="G28">
        <f>+COUNTIF($L$3:$L$5,"2(110W)")</f>
        <v>0</v>
      </c>
    </row>
    <row r="29" spans="4:9" ht="15">
      <c r="D29" s="32" t="s">
        <v>68</v>
      </c>
      <c r="E29" s="32"/>
      <c r="F29" s="32"/>
      <c r="G29">
        <f>+SUM(N3:N5)</f>
        <v>2</v>
      </c>
      <c r="I29" s="5">
        <f>+G29+H29</f>
        <v>2</v>
      </c>
    </row>
    <row r="30" spans="4:9" ht="15">
      <c r="D30" s="32" t="s">
        <v>69</v>
      </c>
      <c r="E30" s="32"/>
      <c r="F30" s="32"/>
      <c r="G30">
        <f>+SUM(M3:M5)</f>
        <v>2</v>
      </c>
      <c r="I30" s="5">
        <f aca="true" t="shared" si="2" ref="I30:I31">SUM(G30:H30)</f>
        <v>2</v>
      </c>
    </row>
    <row r="31" spans="4:9" ht="15">
      <c r="D31" s="32" t="s">
        <v>71</v>
      </c>
      <c r="E31" s="32"/>
      <c r="F31" s="32"/>
      <c r="G31">
        <f>+SUM(O3:O5)</f>
        <v>2</v>
      </c>
      <c r="I31" s="5">
        <f t="shared" si="2"/>
        <v>2</v>
      </c>
    </row>
  </sheetData>
  <mergeCells count="26">
    <mergeCell ref="D29:F29"/>
    <mergeCell ref="D30:F30"/>
    <mergeCell ref="D31:F31"/>
    <mergeCell ref="D25:F25"/>
    <mergeCell ref="D27:F27"/>
    <mergeCell ref="D28:F28"/>
    <mergeCell ref="D26:F26"/>
    <mergeCell ref="D18:F18"/>
    <mergeCell ref="D19:F19"/>
    <mergeCell ref="D24:F24"/>
    <mergeCell ref="D13:F13"/>
    <mergeCell ref="D14:F14"/>
    <mergeCell ref="D15:F15"/>
    <mergeCell ref="D16:F16"/>
    <mergeCell ref="D20:F20"/>
    <mergeCell ref="D22:F22"/>
    <mergeCell ref="D23:F23"/>
    <mergeCell ref="D21:F21"/>
    <mergeCell ref="D11:F11"/>
    <mergeCell ref="D17:F17"/>
    <mergeCell ref="D10:F10"/>
    <mergeCell ref="D6:M6"/>
    <mergeCell ref="D8:F8"/>
    <mergeCell ref="D7:F7"/>
    <mergeCell ref="D9:F9"/>
    <mergeCell ref="D12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26"/>
  <sheetViews>
    <sheetView tabSelected="1" view="pageBreakPreview" zoomScaleSheetLayoutView="100" workbookViewId="0" topLeftCell="A3">
      <selection activeCell="C10" sqref="C10"/>
    </sheetView>
  </sheetViews>
  <sheetFormatPr defaultColWidth="11.421875" defaultRowHeight="15"/>
  <cols>
    <col min="1" max="1" width="16.57421875" style="0" customWidth="1"/>
    <col min="3" max="3" width="89.57421875" style="0" customWidth="1"/>
    <col min="4" max="4" width="9.421875" style="0" customWidth="1"/>
    <col min="5" max="5" width="9.57421875" style="0" customWidth="1"/>
    <col min="6" max="6" width="14.57421875" style="0" bestFit="1" customWidth="1"/>
    <col min="7" max="7" width="16.00390625" style="0" bestFit="1" customWidth="1"/>
    <col min="8" max="8" width="19.57421875" style="0" bestFit="1" customWidth="1"/>
    <col min="9" max="9" width="15.7109375" style="0" bestFit="1" customWidth="1"/>
  </cols>
  <sheetData>
    <row r="3" spans="2:13" ht="15">
      <c r="B3" s="31" t="s">
        <v>90</v>
      </c>
      <c r="C3" s="31"/>
      <c r="D3" s="31"/>
      <c r="E3" s="31"/>
      <c r="F3" s="31"/>
      <c r="G3" s="31"/>
      <c r="H3" s="31"/>
      <c r="I3" s="31"/>
      <c r="J3" s="6"/>
      <c r="K3" s="6"/>
      <c r="L3" s="6"/>
      <c r="M3" s="6"/>
    </row>
    <row r="4" ht="15.75">
      <c r="I4" s="30" t="s">
        <v>92</v>
      </c>
    </row>
    <row r="5" spans="2:9" ht="15">
      <c r="B5" s="7" t="s">
        <v>38</v>
      </c>
      <c r="C5" s="7" t="s">
        <v>31</v>
      </c>
      <c r="D5" s="7" t="s">
        <v>42</v>
      </c>
      <c r="E5" s="7" t="s">
        <v>40</v>
      </c>
      <c r="F5" s="7" t="s">
        <v>43</v>
      </c>
      <c r="G5" s="7" t="s">
        <v>44</v>
      </c>
      <c r="H5" s="7" t="s">
        <v>39</v>
      </c>
      <c r="I5" s="7" t="s">
        <v>45</v>
      </c>
    </row>
    <row r="6" spans="2:9" ht="15">
      <c r="B6" s="8">
        <v>2</v>
      </c>
      <c r="C6" s="8" t="s">
        <v>87</v>
      </c>
      <c r="D6" s="8" t="s">
        <v>41</v>
      </c>
      <c r="E6" s="9">
        <f>+CONDUCTOR!F7</f>
        <v>133.98</v>
      </c>
      <c r="F6" s="18">
        <v>4.38</v>
      </c>
      <c r="G6" s="19">
        <f aca="true" t="shared" si="0" ref="G6:G14">+E6*F6</f>
        <v>586.8323999999999</v>
      </c>
      <c r="H6" s="8">
        <v>1.54</v>
      </c>
      <c r="I6" s="9">
        <f aca="true" t="shared" si="1" ref="I6:I14">+H6*E6</f>
        <v>206.3292</v>
      </c>
    </row>
    <row r="7" spans="2:9" ht="15">
      <c r="B7" s="17">
        <v>4</v>
      </c>
      <c r="C7" s="8" t="s">
        <v>46</v>
      </c>
      <c r="D7" s="8" t="s">
        <v>47</v>
      </c>
      <c r="E7" s="8">
        <f>+ESTRUCTURAS!I9</f>
        <v>2</v>
      </c>
      <c r="F7" s="18">
        <v>740.15</v>
      </c>
      <c r="G7" s="19">
        <f t="shared" si="0"/>
        <v>1480.3</v>
      </c>
      <c r="H7" s="8">
        <v>122.9</v>
      </c>
      <c r="I7" s="9">
        <f t="shared" si="1"/>
        <v>245.8</v>
      </c>
    </row>
    <row r="8" spans="2:9" ht="15">
      <c r="B8" s="17">
        <v>11</v>
      </c>
      <c r="C8" s="8" t="s">
        <v>48</v>
      </c>
      <c r="D8" s="8" t="s">
        <v>47</v>
      </c>
      <c r="E8" s="8">
        <f>+ESTRUCTURAS!I13</f>
        <v>1</v>
      </c>
      <c r="F8" s="18">
        <v>20.06</v>
      </c>
      <c r="G8" s="19">
        <f t="shared" si="0"/>
        <v>20.06</v>
      </c>
      <c r="H8" s="8">
        <v>16.83</v>
      </c>
      <c r="I8" s="9">
        <f t="shared" si="1"/>
        <v>16.83</v>
      </c>
    </row>
    <row r="9" spans="2:9" ht="15">
      <c r="B9" s="17">
        <v>12</v>
      </c>
      <c r="C9" s="8" t="s">
        <v>49</v>
      </c>
      <c r="D9" s="8" t="s">
        <v>47</v>
      </c>
      <c r="E9" s="8">
        <f>+ESTRUCTURAS!I14</f>
        <v>2</v>
      </c>
      <c r="F9" s="18">
        <v>14.93</v>
      </c>
      <c r="G9" s="19">
        <f t="shared" si="0"/>
        <v>29.86</v>
      </c>
      <c r="H9" s="8">
        <v>21.04</v>
      </c>
      <c r="I9" s="9">
        <f t="shared" si="1"/>
        <v>42.08</v>
      </c>
    </row>
    <row r="10" spans="2:9" s="13" customFormat="1" ht="15">
      <c r="B10" s="17">
        <v>14</v>
      </c>
      <c r="C10" s="11" t="s">
        <v>93</v>
      </c>
      <c r="D10" s="11" t="s">
        <v>47</v>
      </c>
      <c r="E10" s="11">
        <f>+ESTRUCTURAS!I19</f>
        <v>1</v>
      </c>
      <c r="F10" s="20">
        <v>60.61</v>
      </c>
      <c r="G10" s="21">
        <f t="shared" si="0"/>
        <v>60.61</v>
      </c>
      <c r="H10" s="11">
        <v>25.66</v>
      </c>
      <c r="I10" s="12">
        <f t="shared" si="1"/>
        <v>25.66</v>
      </c>
    </row>
    <row r="11" spans="2:9" s="13" customFormat="1" ht="15">
      <c r="B11" s="17">
        <v>24</v>
      </c>
      <c r="C11" s="11" t="s">
        <v>88</v>
      </c>
      <c r="D11" s="11" t="s">
        <v>47</v>
      </c>
      <c r="E11" s="11">
        <f>+ESTRUCTURAS!I27</f>
        <v>2</v>
      </c>
      <c r="F11" s="20">
        <v>453.5</v>
      </c>
      <c r="G11" s="21">
        <f t="shared" si="0"/>
        <v>907</v>
      </c>
      <c r="H11" s="11">
        <v>39.15</v>
      </c>
      <c r="I11" s="12">
        <f t="shared" si="1"/>
        <v>78.3</v>
      </c>
    </row>
    <row r="12" spans="2:9" s="13" customFormat="1" ht="15">
      <c r="B12" s="17">
        <v>26</v>
      </c>
      <c r="C12" s="14" t="s">
        <v>61</v>
      </c>
      <c r="D12" s="11" t="s">
        <v>47</v>
      </c>
      <c r="E12" s="11">
        <f>+ESTRUCTURAS!I30</f>
        <v>2</v>
      </c>
      <c r="F12" s="20">
        <v>126.52</v>
      </c>
      <c r="G12" s="21">
        <f t="shared" si="0"/>
        <v>253.04</v>
      </c>
      <c r="H12" s="11">
        <v>44.15</v>
      </c>
      <c r="I12" s="12">
        <f t="shared" si="1"/>
        <v>88.3</v>
      </c>
    </row>
    <row r="13" spans="2:9" ht="15">
      <c r="B13" s="17">
        <v>27</v>
      </c>
      <c r="C13" s="8" t="s">
        <v>51</v>
      </c>
      <c r="D13" s="8" t="s">
        <v>47</v>
      </c>
      <c r="E13" s="8">
        <f>+ESTRUCTURAS!K8</f>
        <v>3</v>
      </c>
      <c r="F13" s="18" t="s">
        <v>73</v>
      </c>
      <c r="G13" s="21" t="s">
        <v>73</v>
      </c>
      <c r="H13" s="8">
        <v>184.15</v>
      </c>
      <c r="I13" s="9">
        <f t="shared" si="1"/>
        <v>552.45</v>
      </c>
    </row>
    <row r="14" spans="2:9" ht="30" customHeight="1">
      <c r="B14" s="17">
        <v>29</v>
      </c>
      <c r="C14" s="14" t="s">
        <v>72</v>
      </c>
      <c r="D14" s="8" t="s">
        <v>47</v>
      </c>
      <c r="E14" s="8">
        <f>+ESTRUCTURAS!I31</f>
        <v>2</v>
      </c>
      <c r="F14" s="18">
        <v>7.88</v>
      </c>
      <c r="G14" s="21">
        <f t="shared" si="0"/>
        <v>15.76</v>
      </c>
      <c r="H14" s="8">
        <v>7.45</v>
      </c>
      <c r="I14" s="9">
        <f t="shared" si="1"/>
        <v>14.9</v>
      </c>
    </row>
    <row r="15" spans="2:13" s="16" customFormat="1" ht="15">
      <c r="B15" s="17">
        <v>34</v>
      </c>
      <c r="C15" s="17" t="s">
        <v>81</v>
      </c>
      <c r="D15" s="17" t="s">
        <v>82</v>
      </c>
      <c r="E15" s="17">
        <v>0.1</v>
      </c>
      <c r="F15" s="18" t="s">
        <v>73</v>
      </c>
      <c r="G15" s="19" t="s">
        <v>73</v>
      </c>
      <c r="H15" s="17">
        <v>496.6</v>
      </c>
      <c r="I15" s="9">
        <f aca="true" t="shared" si="2" ref="I15:I16">+E15*H15</f>
        <v>49.660000000000004</v>
      </c>
      <c r="J15" s="23"/>
      <c r="K15" s="23"/>
      <c r="L15" s="24"/>
      <c r="M15" s="23"/>
    </row>
    <row r="16" spans="2:13" s="16" customFormat="1" ht="30">
      <c r="B16" s="17">
        <v>36</v>
      </c>
      <c r="C16" s="29" t="s">
        <v>91</v>
      </c>
      <c r="D16" s="17" t="s">
        <v>47</v>
      </c>
      <c r="E16" s="17">
        <f>+E12</f>
        <v>2</v>
      </c>
      <c r="F16" s="18">
        <v>49.2</v>
      </c>
      <c r="G16" s="19">
        <f>+E16*F16</f>
        <v>98.4</v>
      </c>
      <c r="H16" s="17">
        <v>40.31</v>
      </c>
      <c r="I16" s="9">
        <f t="shared" si="2"/>
        <v>80.62</v>
      </c>
      <c r="J16" s="23"/>
      <c r="K16" s="23"/>
      <c r="L16" s="24"/>
      <c r="M16" s="23"/>
    </row>
    <row r="17" spans="6:13" ht="15">
      <c r="F17" s="22"/>
      <c r="G17" s="22"/>
      <c r="H17" s="7" t="s">
        <v>44</v>
      </c>
      <c r="I17" s="10">
        <f>SUM(G6:G16)</f>
        <v>3451.8624000000004</v>
      </c>
      <c r="J17" s="23"/>
      <c r="K17" s="23"/>
      <c r="L17" s="23"/>
      <c r="M17" s="23"/>
    </row>
    <row r="18" spans="8:13" ht="15">
      <c r="H18" s="7" t="s">
        <v>52</v>
      </c>
      <c r="I18" s="10">
        <f>SUM(I6:I16)</f>
        <v>1400.9292</v>
      </c>
      <c r="J18" s="23"/>
      <c r="K18" s="23"/>
      <c r="L18" s="23"/>
      <c r="M18" s="23"/>
    </row>
    <row r="19" spans="8:13" ht="15">
      <c r="H19" s="7" t="s">
        <v>53</v>
      </c>
      <c r="I19" s="10">
        <f>+I17+I18</f>
        <v>4852.7916000000005</v>
      </c>
      <c r="J19" s="23"/>
      <c r="K19" s="24"/>
      <c r="L19" s="23"/>
      <c r="M19" s="23"/>
    </row>
    <row r="20" spans="8:13" ht="15">
      <c r="H20" s="7" t="s">
        <v>54</v>
      </c>
      <c r="I20" s="10">
        <f>+I19*0.12</f>
        <v>582.334992</v>
      </c>
      <c r="J20" s="23"/>
      <c r="K20" s="23"/>
      <c r="L20" s="23"/>
      <c r="M20" s="23"/>
    </row>
    <row r="21" spans="8:13" ht="15">
      <c r="H21" s="7" t="s">
        <v>28</v>
      </c>
      <c r="I21" s="10">
        <f>+I19+I20</f>
        <v>5435.1265920000005</v>
      </c>
      <c r="J21" s="23"/>
      <c r="K21" s="23"/>
      <c r="L21" s="23"/>
      <c r="M21" s="23"/>
    </row>
    <row r="22" spans="10:13" ht="15">
      <c r="J22" s="23"/>
      <c r="K22" s="23"/>
      <c r="L22" s="23"/>
      <c r="M22" s="23"/>
    </row>
    <row r="23" spans="7:13" ht="15">
      <c r="G23" s="26"/>
      <c r="H23" s="15"/>
      <c r="I23" s="27"/>
      <c r="J23" s="25">
        <f>+I19-I23</f>
        <v>4852.7916000000005</v>
      </c>
      <c r="K23" s="23"/>
      <c r="L23" s="23">
        <f>+J23/39.15</f>
        <v>123.9538084291188</v>
      </c>
      <c r="M23" s="23"/>
    </row>
    <row r="24" spans="7:13" ht="15">
      <c r="G24" s="26"/>
      <c r="H24" s="15"/>
      <c r="I24" s="28"/>
      <c r="J24" s="23"/>
      <c r="K24" s="23"/>
      <c r="L24" s="23"/>
      <c r="M24" s="23"/>
    </row>
    <row r="25" spans="10:13" ht="15">
      <c r="J25" s="23"/>
      <c r="K25" s="23"/>
      <c r="L25" s="23">
        <f>+J23/6.22</f>
        <v>780.191575562701</v>
      </c>
      <c r="M25" s="23"/>
    </row>
    <row r="26" spans="10:13" ht="15">
      <c r="J26" s="23"/>
      <c r="K26" s="23"/>
      <c r="L26" s="23"/>
      <c r="M26" s="23"/>
    </row>
  </sheetData>
  <mergeCells count="1">
    <mergeCell ref="B3:I3"/>
  </mergeCells>
  <printOptions/>
  <pageMargins left="0.25" right="0.25" top="0.75" bottom="0.75" header="0.3" footer="0.3"/>
  <pageSetup fitToHeight="1" fitToWidth="1" horizontalDpi="600" verticalDpi="600" orientation="landscape" scale="72" r:id="rId1"/>
  <colBreaks count="2" manualBreakCount="2">
    <brk id="1" max="16383" man="1"/>
    <brk id="9" min="2" max="16383" man="1"/>
  </col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GL. Lozano</dc:creator>
  <cp:keywords/>
  <dc:description/>
  <cp:lastModifiedBy>TOBIAS VERDUGO ISRAEL</cp:lastModifiedBy>
  <cp:lastPrinted>2019-05-23T16:23:07Z</cp:lastPrinted>
  <dcterms:created xsi:type="dcterms:W3CDTF">2019-02-08T18:18:07Z</dcterms:created>
  <dcterms:modified xsi:type="dcterms:W3CDTF">2019-05-23T16:23:10Z</dcterms:modified>
  <cp:category/>
  <cp:version/>
  <cp:contentType/>
  <cp:contentStatus/>
</cp:coreProperties>
</file>